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2" i="1" l="1"/>
  <c r="H42" i="1"/>
  <c r="M42" i="1" l="1"/>
  <c r="K43" i="1"/>
  <c r="O42" i="1" l="1"/>
  <c r="O4" i="1"/>
  <c r="K41" i="1"/>
  <c r="H41" i="1"/>
  <c r="M41" i="1" l="1"/>
  <c r="G52" i="1"/>
  <c r="O41" i="1" l="1"/>
  <c r="K40" i="1"/>
  <c r="H40" i="1"/>
  <c r="M40" i="1" l="1"/>
  <c r="K39" i="1"/>
  <c r="H39" i="1"/>
  <c r="M39" i="1" l="1"/>
  <c r="B45" i="1"/>
  <c r="K38" i="1"/>
  <c r="H38" i="1"/>
  <c r="M38" i="1" l="1"/>
  <c r="M37" i="1"/>
  <c r="K37" i="1"/>
  <c r="H37" i="1"/>
  <c r="K36" i="1" l="1"/>
  <c r="H36" i="1"/>
  <c r="M36" i="1" l="1"/>
  <c r="K35" i="1"/>
  <c r="H35" i="1"/>
  <c r="M35" i="1" l="1"/>
  <c r="K34" i="1"/>
  <c r="M34" i="1" s="1"/>
  <c r="H34" i="1"/>
  <c r="K33" i="1" l="1"/>
  <c r="H33" i="1"/>
  <c r="M33" i="1" l="1"/>
  <c r="K52" i="1" l="1"/>
  <c r="O40" i="1"/>
  <c r="O38" i="1"/>
  <c r="O39" i="1"/>
  <c r="O36" i="1"/>
  <c r="O37" i="1"/>
  <c r="K32" i="1"/>
  <c r="O35" i="1" s="1"/>
  <c r="H32" i="1"/>
  <c r="O34" i="1" l="1"/>
  <c r="M32" i="1"/>
  <c r="H4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D51" i="1" l="1"/>
  <c r="M53" i="1" s="1"/>
  <c r="N42" i="1"/>
  <c r="N41" i="1"/>
  <c r="N40" i="1"/>
  <c r="N38" i="1"/>
  <c r="N39" i="1"/>
  <c r="N36" i="1"/>
  <c r="N37" i="1"/>
  <c r="N35" i="1"/>
  <c r="N34" i="1"/>
  <c r="M43" i="1"/>
  <c r="N43" i="1"/>
  <c r="N33" i="1"/>
  <c r="N32" i="1"/>
  <c r="J45" i="1"/>
  <c r="I45" i="1"/>
  <c r="G45" i="1"/>
  <c r="F45" i="1"/>
  <c r="E45" i="1"/>
  <c r="D45" i="1"/>
  <c r="H51" i="1" l="1"/>
  <c r="H45" i="1"/>
  <c r="K6" i="1"/>
  <c r="K7" i="1"/>
  <c r="K8" i="1"/>
  <c r="K9" i="1"/>
  <c r="K10" i="1"/>
  <c r="K11" i="1"/>
  <c r="M11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" i="1"/>
  <c r="N6" i="1"/>
  <c r="N7" i="1"/>
  <c r="N9" i="1"/>
  <c r="N10" i="1"/>
  <c r="N14" i="1"/>
  <c r="N18" i="1"/>
  <c r="N21" i="1"/>
  <c r="N22" i="1"/>
  <c r="N23" i="1"/>
  <c r="N24" i="1"/>
  <c r="N26" i="1"/>
  <c r="N27" i="1"/>
  <c r="N29" i="1"/>
  <c r="N30" i="1"/>
  <c r="N31" i="1"/>
  <c r="K4" i="1"/>
  <c r="N5" i="1"/>
  <c r="H47" i="1" l="1"/>
  <c r="H49" i="1"/>
  <c r="O33" i="1"/>
  <c r="O32" i="1"/>
  <c r="O23" i="1"/>
  <c r="O7" i="1"/>
  <c r="O30" i="1"/>
  <c r="O22" i="1"/>
  <c r="O10" i="1"/>
  <c r="O43" i="1"/>
  <c r="O29" i="1"/>
  <c r="O25" i="1"/>
  <c r="O21" i="1"/>
  <c r="O17" i="1"/>
  <c r="O13" i="1"/>
  <c r="O9" i="1"/>
  <c r="O26" i="1"/>
  <c r="O14" i="1"/>
  <c r="O6" i="1"/>
  <c r="O5" i="1"/>
  <c r="O28" i="1"/>
  <c r="O16" i="1"/>
  <c r="O12" i="1"/>
  <c r="O8" i="1"/>
  <c r="N15" i="1"/>
  <c r="N19" i="1"/>
  <c r="N13" i="1"/>
  <c r="O18" i="1"/>
  <c r="N28" i="1"/>
  <c r="N16" i="1"/>
  <c r="N12" i="1"/>
  <c r="N8" i="1"/>
  <c r="O11" i="1"/>
  <c r="N25" i="1"/>
  <c r="N17" i="1"/>
  <c r="O15" i="1"/>
  <c r="O27" i="1"/>
  <c r="O20" i="1"/>
  <c r="O24" i="1"/>
  <c r="N20" i="1"/>
  <c r="N4" i="1"/>
  <c r="O19" i="1"/>
  <c r="O31" i="1"/>
  <c r="N11" i="1"/>
  <c r="M31" i="1"/>
  <c r="M4" i="1"/>
  <c r="M5" i="1"/>
  <c r="M28" i="1"/>
  <c r="M24" i="1"/>
  <c r="M20" i="1"/>
  <c r="M16" i="1"/>
  <c r="M12" i="1"/>
  <c r="M8" i="1"/>
  <c r="M30" i="1"/>
  <c r="M25" i="1"/>
  <c r="M17" i="1"/>
  <c r="K45" i="1"/>
  <c r="M45" i="1" s="1"/>
  <c r="M29" i="1"/>
  <c r="M27" i="1"/>
  <c r="M26" i="1"/>
  <c r="M23" i="1"/>
  <c r="M22" i="1"/>
  <c r="M21" i="1"/>
  <c r="M19" i="1"/>
  <c r="M18" i="1"/>
  <c r="M15" i="1"/>
  <c r="M14" i="1"/>
  <c r="M13" i="1"/>
  <c r="M10" i="1"/>
  <c r="M9" i="1"/>
  <c r="M7" i="1"/>
  <c r="M6" i="1"/>
  <c r="K49" i="1" l="1"/>
  <c r="K47" i="1"/>
  <c r="K48" i="1"/>
  <c r="H48" i="1"/>
</calcChain>
</file>

<file path=xl/sharedStrings.xml><?xml version="1.0" encoding="utf-8"?>
<sst xmlns="http://schemas.openxmlformats.org/spreadsheetml/2006/main" count="50" uniqueCount="42">
  <si>
    <t>Year</t>
  </si>
  <si>
    <t>Total</t>
  </si>
  <si>
    <t>Gold</t>
  </si>
  <si>
    <t>Silver</t>
  </si>
  <si>
    <t>Silver/Gold</t>
  </si>
  <si>
    <t>1 ounce</t>
  </si>
  <si>
    <t>1/2 ounce</t>
  </si>
  <si>
    <t>1/4 ounce</t>
  </si>
  <si>
    <t>1/10 ounce</t>
  </si>
  <si>
    <t>Buffalos</t>
  </si>
  <si>
    <t>Totals</t>
  </si>
  <si>
    <t>Ratio</t>
  </si>
  <si>
    <t>Percent of maximum</t>
  </si>
  <si>
    <t>Eagles</t>
  </si>
  <si>
    <t>ATB 5 oz</t>
  </si>
  <si>
    <t>One Short Ton = 29,166.6667 troy ounces</t>
  </si>
  <si>
    <t>Short Tons of Gold =</t>
  </si>
  <si>
    <t>US Treasury Coin Sales, 1986 to date</t>
  </si>
  <si>
    <t>data comes from------&gt;</t>
  </si>
  <si>
    <t>= Short Tons of Silver</t>
  </si>
  <si>
    <t>n/a</t>
  </si>
  <si>
    <t>One Metric Ton = 32,150.7466 troy ounces</t>
  </si>
  <si>
    <t>Metric Tons of Gold =</t>
  </si>
  <si>
    <t>= Metric Tons of Silver</t>
  </si>
  <si>
    <t>Short Tons are regular old US Tons.</t>
  </si>
  <si>
    <t>Gold Eagles</t>
  </si>
  <si>
    <t>Cubic Yards of Gold =</t>
  </si>
  <si>
    <t>= Cubic Yards of Silver</t>
  </si>
  <si>
    <t>14.77 Metric Tons of Gold per Yd3</t>
  </si>
  <si>
    <t>8.03 Metric Tons of Silver per Yd3</t>
  </si>
  <si>
    <t>and the Silver Total was</t>
  </si>
  <si>
    <t>ounces of Gold were sold, which is</t>
  </si>
  <si>
    <t>ounces of Silver were sold, which is</t>
  </si>
  <si>
    <t>and the Gold Total was</t>
  </si>
  <si>
    <t>Prior week was week #</t>
  </si>
  <si>
    <t>of the weekly average for this year.</t>
  </si>
  <si>
    <t>STATISTICS for the week, ending on Friday:</t>
  </si>
  <si>
    <t>The Silver/Gold Ratio for the week was</t>
  </si>
  <si>
    <r>
      <t xml:space="preserve">A record for </t>
    </r>
    <r>
      <rPr>
        <b/>
        <sz val="11"/>
        <color theme="1"/>
        <rFont val="Calibri"/>
        <family val="2"/>
        <scheme val="minor"/>
      </rPr>
      <t>Silver Sales of 4,000,000 Troy Ounces</t>
    </r>
    <r>
      <rPr>
        <sz val="11"/>
        <color theme="1"/>
        <rFont val="Calibri"/>
        <family val="2"/>
        <scheme val="minor"/>
      </rPr>
      <t xml:space="preserve"> was set during the week of January 11th through January 15th, 2016.</t>
    </r>
  </si>
  <si>
    <t xml:space="preserve"> </t>
  </si>
  <si>
    <t>https://www.usmint.gov/about/production-sales-figures/bullion-sales</t>
  </si>
  <si>
    <t>Values last updated by Brian Davis on 5-9-2025 at 11:39am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</si>
</sst>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9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2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0" fillId="2" borderId="0" xfId="2" applyNumberFormat="1" applyFont="1" applyFill="1"/>
    <xf numFmtId="3" fontId="0" fillId="3" borderId="0" xfId="2" applyNumberFormat="1" applyFont="1" applyFill="1"/>
    <xf numFmtId="3" fontId="2" fillId="3" borderId="0" xfId="2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/>
    <xf numFmtId="0" fontId="2" fillId="2" borderId="0" xfId="0" applyFont="1" applyFill="1" applyAlignment="1">
      <alignment horizontal="right"/>
    </xf>
    <xf numFmtId="41" fontId="2" fillId="2" borderId="0" xfId="2" applyNumberFormat="1" applyFont="1" applyFill="1" applyAlignment="1">
      <alignment horizontal="left"/>
    </xf>
    <xf numFmtId="0" fontId="0" fillId="2" borderId="0" xfId="0" applyFill="1"/>
    <xf numFmtId="0" fontId="2" fillId="3" borderId="0" xfId="0" quotePrefix="1" applyFont="1" applyFill="1" applyAlignment="1">
      <alignment horizontal="left"/>
    </xf>
    <xf numFmtId="3" fontId="0" fillId="3" borderId="0" xfId="0" applyNumberFormat="1" applyFill="1"/>
    <xf numFmtId="9" fontId="1" fillId="0" borderId="0" xfId="1" applyFont="1" applyAlignment="1">
      <alignment horizontal="right"/>
    </xf>
    <xf numFmtId="0" fontId="5" fillId="0" borderId="0" xfId="3" applyAlignment="1"/>
    <xf numFmtId="3" fontId="0" fillId="0" borderId="0" xfId="2" applyNumberFormat="1" applyFont="1" applyFill="1"/>
    <xf numFmtId="9" fontId="0" fillId="0" borderId="0" xfId="1" applyFont="1" applyFill="1"/>
    <xf numFmtId="9" fontId="0" fillId="3" borderId="0" xfId="1" applyNumberFormat="1" applyFont="1" applyFill="1"/>
    <xf numFmtId="9" fontId="0" fillId="2" borderId="0" xfId="1" applyNumberFormat="1" applyFont="1" applyFill="1"/>
    <xf numFmtId="9" fontId="2" fillId="2" borderId="0" xfId="1" applyNumberFormat="1" applyFont="1" applyFill="1"/>
    <xf numFmtId="9" fontId="1" fillId="2" borderId="0" xfId="1" applyNumberFormat="1" applyFont="1" applyFill="1"/>
    <xf numFmtId="9" fontId="2" fillId="3" borderId="0" xfId="1" applyNumberFormat="1" applyFont="1" applyFill="1"/>
    <xf numFmtId="164" fontId="0" fillId="0" borderId="0" xfId="2" applyNumberFormat="1" applyFont="1" applyAlignment="1">
      <alignment horizontal="left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9" fontId="2" fillId="2" borderId="0" xfId="1" applyFont="1" applyFill="1" applyAlignment="1">
      <alignment horizontal="center"/>
    </xf>
    <xf numFmtId="3" fontId="2" fillId="2" borderId="0" xfId="2" applyNumberFormat="1" applyFont="1" applyFill="1"/>
    <xf numFmtId="0" fontId="2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3" fontId="2" fillId="0" borderId="0" xfId="2" applyNumberFormat="1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5" borderId="0" xfId="0" applyFill="1"/>
    <xf numFmtId="0" fontId="2" fillId="5" borderId="0" xfId="0" applyFont="1" applyFill="1" applyAlignment="1">
      <alignment horizontal="left"/>
    </xf>
    <xf numFmtId="0" fontId="2" fillId="5" borderId="0" xfId="0" applyFont="1" applyFill="1"/>
    <xf numFmtId="9" fontId="2" fillId="5" borderId="0" xfId="1" applyFont="1" applyFill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64" fontId="3" fillId="3" borderId="0" xfId="2" applyNumberFormat="1" applyFont="1" applyFill="1" applyAlignment="1">
      <alignment horizontal="left"/>
    </xf>
    <xf numFmtId="164" fontId="0" fillId="3" borderId="0" xfId="2" applyNumberFormat="1" applyFont="1" applyFill="1" applyAlignment="1">
      <alignment horizontal="left"/>
    </xf>
    <xf numFmtId="41" fontId="2" fillId="3" borderId="0" xfId="2" applyNumberFormat="1" applyFont="1" applyFill="1" applyAlignment="1">
      <alignment horizontal="right"/>
    </xf>
    <xf numFmtId="9" fontId="2" fillId="3" borderId="0" xfId="1" applyFont="1" applyFill="1" applyAlignment="1">
      <alignment horizontal="center"/>
    </xf>
    <xf numFmtId="0" fontId="0" fillId="0" borderId="0" xfId="0" applyFill="1"/>
    <xf numFmtId="9" fontId="1" fillId="3" borderId="0" xfId="1" applyNumberFormat="1" applyFont="1" applyFill="1"/>
    <xf numFmtId="0" fontId="6" fillId="0" borderId="0" xfId="0" applyFont="1"/>
    <xf numFmtId="37" fontId="2" fillId="2" borderId="0" xfId="0" applyNumberFormat="1" applyFont="1" applyFill="1"/>
    <xf numFmtId="37" fontId="2" fillId="3" borderId="0" xfId="0" applyNumberFormat="1" applyFont="1" applyFill="1"/>
    <xf numFmtId="37" fontId="3" fillId="0" borderId="0" xfId="2" applyNumberFormat="1" applyFont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int.gov/about/production-sales-figures/bullion-s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6.140625" customWidth="1"/>
    <col min="2" max="2" width="13.28515625" bestFit="1" customWidth="1"/>
    <col min="3" max="3" width="2.140625" customWidth="1"/>
    <col min="4" max="5" width="9.28515625" customWidth="1"/>
    <col min="6" max="8" width="11" customWidth="1"/>
    <col min="9" max="9" width="12" customWidth="1"/>
    <col min="10" max="10" width="10.5703125" customWidth="1"/>
    <col min="11" max="11" width="12.5703125" customWidth="1"/>
    <col min="12" max="12" width="2.140625" customWidth="1"/>
    <col min="13" max="13" width="10.85546875" customWidth="1"/>
    <col min="15" max="15" width="12" customWidth="1"/>
    <col min="17" max="17" width="10.5703125" customWidth="1"/>
    <col min="19" max="19" width="14.28515625" bestFit="1" customWidth="1"/>
    <col min="20" max="20" width="11.28515625" bestFit="1" customWidth="1"/>
  </cols>
  <sheetData>
    <row r="1" spans="1:21" s="19" customFormat="1" x14ac:dyDescent="0.25">
      <c r="A1" s="18" t="s">
        <v>17</v>
      </c>
      <c r="F1" s="19" t="s">
        <v>18</v>
      </c>
      <c r="H1" s="27" t="s">
        <v>40</v>
      </c>
    </row>
    <row r="2" spans="1:21" x14ac:dyDescent="0.25">
      <c r="A2" s="7" t="s">
        <v>0</v>
      </c>
      <c r="B2" s="7" t="s">
        <v>25</v>
      </c>
      <c r="C2" s="7"/>
      <c r="D2" s="7"/>
      <c r="E2" s="7"/>
      <c r="F2" s="7"/>
      <c r="G2" s="14" t="s">
        <v>2</v>
      </c>
      <c r="H2" s="15" t="s">
        <v>2</v>
      </c>
      <c r="I2" s="14" t="s">
        <v>3</v>
      </c>
      <c r="J2" s="14" t="s">
        <v>3</v>
      </c>
      <c r="K2" s="16" t="s">
        <v>3</v>
      </c>
      <c r="L2" s="16"/>
      <c r="M2" s="41" t="s">
        <v>4</v>
      </c>
      <c r="N2" s="17" t="s">
        <v>12</v>
      </c>
      <c r="O2" s="7"/>
      <c r="U2" s="1"/>
    </row>
    <row r="3" spans="1:21" x14ac:dyDescent="0.25">
      <c r="A3" s="7" t="s">
        <v>39</v>
      </c>
      <c r="B3" s="14" t="s">
        <v>5</v>
      </c>
      <c r="C3" s="14"/>
      <c r="D3" s="14" t="s">
        <v>6</v>
      </c>
      <c r="E3" s="14" t="s">
        <v>7</v>
      </c>
      <c r="F3" s="14" t="s">
        <v>8</v>
      </c>
      <c r="G3" s="14" t="s">
        <v>9</v>
      </c>
      <c r="H3" s="15" t="s">
        <v>1</v>
      </c>
      <c r="I3" s="14" t="s">
        <v>13</v>
      </c>
      <c r="J3" s="14" t="s">
        <v>14</v>
      </c>
      <c r="K3" s="16" t="s">
        <v>1</v>
      </c>
      <c r="L3" s="16"/>
      <c r="M3" s="41" t="s">
        <v>11</v>
      </c>
      <c r="N3" s="15" t="s">
        <v>2</v>
      </c>
      <c r="O3" s="16" t="s">
        <v>3</v>
      </c>
      <c r="U3" s="1"/>
    </row>
    <row r="4" spans="1:21" x14ac:dyDescent="0.25">
      <c r="A4">
        <v>1986</v>
      </c>
      <c r="B4" s="6">
        <v>1362650</v>
      </c>
      <c r="C4" s="6"/>
      <c r="D4" s="6">
        <v>599566</v>
      </c>
      <c r="E4" s="6">
        <v>726031</v>
      </c>
      <c r="F4" s="6">
        <v>912609</v>
      </c>
      <c r="G4" s="6">
        <v>0</v>
      </c>
      <c r="H4" s="10">
        <f t="shared" ref="H4:H43" si="0">SUM(B4+(0.5*D4)+(0.25*E4)+(0.1*F4)+G4)</f>
        <v>1935201.65</v>
      </c>
      <c r="I4" s="6">
        <v>5393005</v>
      </c>
      <c r="J4" s="6">
        <v>0</v>
      </c>
      <c r="K4" s="11">
        <f t="shared" ref="K4:K37" si="1">I4+(J4*5)</f>
        <v>5393005</v>
      </c>
      <c r="L4" s="11"/>
      <c r="M4" s="42">
        <f t="shared" ref="M4:M31" si="2">K4/H4</f>
        <v>2.7867922704592569</v>
      </c>
      <c r="N4" s="31">
        <f t="shared" ref="N4:N33" si="3">H4/MAX($H$4:$H$43)</f>
        <v>0.94903564731193668</v>
      </c>
      <c r="O4" s="30">
        <f>K4/MAX($K$4:$K$43)</f>
        <v>0.11221400332917186</v>
      </c>
      <c r="U4" s="1"/>
    </row>
    <row r="5" spans="1:21" x14ac:dyDescent="0.25">
      <c r="A5">
        <v>1987</v>
      </c>
      <c r="B5" s="6">
        <v>1045500</v>
      </c>
      <c r="C5" s="6"/>
      <c r="D5" s="6">
        <v>131255</v>
      </c>
      <c r="E5" s="6">
        <v>269255</v>
      </c>
      <c r="F5" s="6">
        <v>580266</v>
      </c>
      <c r="G5" s="6">
        <v>0</v>
      </c>
      <c r="H5" s="10">
        <f t="shared" si="0"/>
        <v>1236467.8500000001</v>
      </c>
      <c r="I5" s="6">
        <v>11442335</v>
      </c>
      <c r="J5" s="6">
        <v>0</v>
      </c>
      <c r="K5" s="11">
        <f t="shared" si="1"/>
        <v>11442335</v>
      </c>
      <c r="L5" s="11"/>
      <c r="M5" s="42">
        <f t="shared" si="2"/>
        <v>9.2540497514755433</v>
      </c>
      <c r="N5" s="31">
        <f t="shared" si="3"/>
        <v>0.6063719852683821</v>
      </c>
      <c r="O5" s="30">
        <f t="shared" ref="O5:O43" si="4">K5/MAX($K$4:$K$43)</f>
        <v>0.23808437369954225</v>
      </c>
      <c r="P5" s="1"/>
      <c r="Q5" s="1"/>
      <c r="R5" s="1"/>
      <c r="S5" s="2"/>
    </row>
    <row r="6" spans="1:21" x14ac:dyDescent="0.25">
      <c r="A6">
        <v>1988</v>
      </c>
      <c r="B6" s="6">
        <v>465500</v>
      </c>
      <c r="C6" s="6"/>
      <c r="D6" s="6">
        <v>45000</v>
      </c>
      <c r="E6" s="6">
        <v>49000</v>
      </c>
      <c r="F6" s="6">
        <v>159500</v>
      </c>
      <c r="G6" s="6">
        <v>0</v>
      </c>
      <c r="H6" s="10">
        <f t="shared" si="0"/>
        <v>516200</v>
      </c>
      <c r="I6" s="6">
        <v>5004646</v>
      </c>
      <c r="J6" s="6">
        <v>0</v>
      </c>
      <c r="K6" s="11">
        <f t="shared" si="1"/>
        <v>5004646</v>
      </c>
      <c r="L6" s="11"/>
      <c r="M6" s="42">
        <f t="shared" si="2"/>
        <v>9.6951685393258433</v>
      </c>
      <c r="N6" s="31">
        <f t="shared" si="3"/>
        <v>0.2531478831378744</v>
      </c>
      <c r="O6" s="30">
        <f t="shared" si="4"/>
        <v>0.10413329171868498</v>
      </c>
      <c r="P6" s="1"/>
      <c r="Q6" s="1"/>
      <c r="R6" s="1"/>
      <c r="S6" s="2"/>
    </row>
    <row r="7" spans="1:21" x14ac:dyDescent="0.25">
      <c r="A7">
        <v>1989</v>
      </c>
      <c r="B7" s="6">
        <v>415790</v>
      </c>
      <c r="C7" s="6"/>
      <c r="D7" s="6">
        <v>44829</v>
      </c>
      <c r="E7" s="6">
        <v>81789</v>
      </c>
      <c r="F7" s="6">
        <v>264790</v>
      </c>
      <c r="G7" s="6">
        <v>0</v>
      </c>
      <c r="H7" s="10">
        <f t="shared" si="0"/>
        <v>485130.75</v>
      </c>
      <c r="I7" s="6">
        <v>5203327</v>
      </c>
      <c r="J7" s="6">
        <v>0</v>
      </c>
      <c r="K7" s="11">
        <f t="shared" si="1"/>
        <v>5203327</v>
      </c>
      <c r="L7" s="11"/>
      <c r="M7" s="42">
        <f t="shared" si="2"/>
        <v>10.725617784483873</v>
      </c>
      <c r="N7" s="31">
        <f t="shared" si="3"/>
        <v>0.2379113181084645</v>
      </c>
      <c r="O7" s="30">
        <f t="shared" si="4"/>
        <v>0.10826731169371619</v>
      </c>
      <c r="P7" s="1"/>
      <c r="Q7" s="1"/>
      <c r="R7" s="1"/>
      <c r="S7" s="2"/>
    </row>
    <row r="8" spans="1:21" x14ac:dyDescent="0.25">
      <c r="A8">
        <v>1990</v>
      </c>
      <c r="B8" s="6">
        <v>373210</v>
      </c>
      <c r="C8" s="6"/>
      <c r="D8" s="6">
        <v>31000</v>
      </c>
      <c r="E8" s="6">
        <v>41000</v>
      </c>
      <c r="F8" s="6">
        <v>210210</v>
      </c>
      <c r="G8" s="6">
        <v>0</v>
      </c>
      <c r="H8" s="10">
        <f t="shared" si="0"/>
        <v>419981</v>
      </c>
      <c r="I8" s="6">
        <v>5840110</v>
      </c>
      <c r="J8" s="6">
        <v>0</v>
      </c>
      <c r="K8" s="11">
        <f t="shared" si="1"/>
        <v>5840110</v>
      </c>
      <c r="L8" s="11"/>
      <c r="M8" s="42">
        <f t="shared" si="2"/>
        <v>13.905652874772906</v>
      </c>
      <c r="N8" s="31">
        <f t="shared" si="3"/>
        <v>0.20596145119745765</v>
      </c>
      <c r="O8" s="30">
        <f t="shared" si="4"/>
        <v>0.12151706200582606</v>
      </c>
      <c r="P8" s="1"/>
      <c r="Q8" s="1"/>
      <c r="R8" s="1"/>
      <c r="S8" s="2"/>
    </row>
    <row r="9" spans="1:21" x14ac:dyDescent="0.25">
      <c r="A9">
        <v>1991</v>
      </c>
      <c r="B9" s="6">
        <v>243100</v>
      </c>
      <c r="C9" s="6"/>
      <c r="D9" s="6">
        <v>24100</v>
      </c>
      <c r="E9" s="6">
        <v>36100</v>
      </c>
      <c r="F9" s="6">
        <v>165200</v>
      </c>
      <c r="G9" s="6">
        <v>0</v>
      </c>
      <c r="H9" s="10">
        <f t="shared" si="0"/>
        <v>280695</v>
      </c>
      <c r="I9" s="6">
        <v>7191066</v>
      </c>
      <c r="J9" s="6">
        <v>0</v>
      </c>
      <c r="K9" s="11">
        <f t="shared" si="1"/>
        <v>7191066</v>
      </c>
      <c r="L9" s="11"/>
      <c r="M9" s="42">
        <f t="shared" si="2"/>
        <v>25.618789077112169</v>
      </c>
      <c r="N9" s="31">
        <f t="shared" si="3"/>
        <v>0.13765467853038679</v>
      </c>
      <c r="O9" s="30">
        <f t="shared" si="4"/>
        <v>0.14962684144818977</v>
      </c>
      <c r="P9" s="1"/>
      <c r="Q9" s="1"/>
      <c r="R9" s="1"/>
      <c r="S9" s="2"/>
    </row>
    <row r="10" spans="1:21" x14ac:dyDescent="0.25">
      <c r="A10">
        <v>1992</v>
      </c>
      <c r="B10" s="6">
        <v>275000</v>
      </c>
      <c r="C10" s="6"/>
      <c r="D10" s="6">
        <v>54404</v>
      </c>
      <c r="E10" s="6">
        <v>59546</v>
      </c>
      <c r="F10" s="6">
        <v>209300</v>
      </c>
      <c r="G10" s="6">
        <v>0</v>
      </c>
      <c r="H10" s="10">
        <f t="shared" si="0"/>
        <v>338018.5</v>
      </c>
      <c r="I10" s="6">
        <v>5540068</v>
      </c>
      <c r="J10" s="6">
        <v>0</v>
      </c>
      <c r="K10" s="11">
        <f t="shared" si="1"/>
        <v>5540068</v>
      </c>
      <c r="L10" s="11"/>
      <c r="M10" s="42">
        <f t="shared" si="2"/>
        <v>16.389836650952535</v>
      </c>
      <c r="N10" s="31">
        <f t="shared" si="3"/>
        <v>0.16576650084548547</v>
      </c>
      <c r="O10" s="30">
        <f t="shared" si="4"/>
        <v>0.11527399084477737</v>
      </c>
      <c r="P10" s="1"/>
      <c r="Q10" s="1"/>
      <c r="R10" s="1"/>
      <c r="S10" s="2"/>
    </row>
    <row r="11" spans="1:21" x14ac:dyDescent="0.25">
      <c r="A11">
        <v>1993</v>
      </c>
      <c r="B11" s="6">
        <v>480192</v>
      </c>
      <c r="C11" s="6"/>
      <c r="D11" s="6">
        <v>73324</v>
      </c>
      <c r="E11" s="6">
        <v>71864</v>
      </c>
      <c r="F11" s="6">
        <v>210709</v>
      </c>
      <c r="G11" s="6">
        <v>0</v>
      </c>
      <c r="H11" s="10">
        <f t="shared" si="0"/>
        <v>555890.9</v>
      </c>
      <c r="I11" s="6">
        <v>6763762</v>
      </c>
      <c r="J11" s="6">
        <v>0</v>
      </c>
      <c r="K11" s="11">
        <f t="shared" si="1"/>
        <v>6763762</v>
      </c>
      <c r="L11" s="11"/>
      <c r="M11" s="42">
        <f t="shared" si="2"/>
        <v>12.167427097655313</v>
      </c>
      <c r="N11" s="31">
        <f t="shared" si="3"/>
        <v>0.27261256216700475</v>
      </c>
      <c r="O11" s="30">
        <f t="shared" si="4"/>
        <v>0.14073578859758634</v>
      </c>
      <c r="P11" s="1"/>
      <c r="Q11" s="1"/>
      <c r="R11" s="1"/>
      <c r="S11" s="2"/>
    </row>
    <row r="12" spans="1:21" x14ac:dyDescent="0.25">
      <c r="A12">
        <v>1994</v>
      </c>
      <c r="B12" s="6">
        <v>221663</v>
      </c>
      <c r="C12" s="6"/>
      <c r="D12" s="6">
        <v>62400</v>
      </c>
      <c r="E12" s="6">
        <v>72650</v>
      </c>
      <c r="F12" s="6">
        <v>206380</v>
      </c>
      <c r="G12" s="6">
        <v>0</v>
      </c>
      <c r="H12" s="10">
        <f t="shared" si="0"/>
        <v>291663.5</v>
      </c>
      <c r="I12" s="6">
        <v>4227319</v>
      </c>
      <c r="J12" s="6">
        <v>0</v>
      </c>
      <c r="K12" s="11">
        <f t="shared" si="1"/>
        <v>4227319</v>
      </c>
      <c r="L12" s="11"/>
      <c r="M12" s="42">
        <f t="shared" si="2"/>
        <v>14.493822504358619</v>
      </c>
      <c r="N12" s="31">
        <f t="shared" si="3"/>
        <v>0.14303370324212211</v>
      </c>
      <c r="O12" s="30">
        <f t="shared" si="4"/>
        <v>8.7959196837286729E-2</v>
      </c>
      <c r="P12" s="1"/>
      <c r="Q12" s="1"/>
      <c r="R12" s="1"/>
      <c r="S12" s="2"/>
    </row>
    <row r="13" spans="1:21" x14ac:dyDescent="0.25">
      <c r="A13">
        <v>1995</v>
      </c>
      <c r="B13" s="6">
        <v>200636</v>
      </c>
      <c r="C13" s="6"/>
      <c r="D13" s="6">
        <v>53474</v>
      </c>
      <c r="E13" s="6">
        <v>83752</v>
      </c>
      <c r="F13" s="6">
        <v>223025</v>
      </c>
      <c r="G13" s="6">
        <v>0</v>
      </c>
      <c r="H13" s="10">
        <f t="shared" si="0"/>
        <v>270613.5</v>
      </c>
      <c r="I13" s="6">
        <v>4672051</v>
      </c>
      <c r="J13" s="6">
        <v>0</v>
      </c>
      <c r="K13" s="11">
        <f t="shared" si="1"/>
        <v>4672051</v>
      </c>
      <c r="L13" s="11"/>
      <c r="M13" s="42">
        <f t="shared" si="2"/>
        <v>17.264663440663529</v>
      </c>
      <c r="N13" s="31">
        <f t="shared" si="3"/>
        <v>0.13271064446635253</v>
      </c>
      <c r="O13" s="30">
        <f t="shared" si="4"/>
        <v>9.7212879733666255E-2</v>
      </c>
      <c r="P13" s="1"/>
      <c r="Q13" s="1"/>
      <c r="R13" s="1"/>
      <c r="S13" s="2"/>
    </row>
    <row r="14" spans="1:21" x14ac:dyDescent="0.25">
      <c r="A14">
        <v>1996</v>
      </c>
      <c r="B14" s="6">
        <v>189148</v>
      </c>
      <c r="C14" s="6"/>
      <c r="D14" s="6">
        <v>39287</v>
      </c>
      <c r="E14" s="6">
        <v>60318</v>
      </c>
      <c r="F14" s="6">
        <v>401964</v>
      </c>
      <c r="G14" s="6">
        <v>0</v>
      </c>
      <c r="H14" s="10">
        <f t="shared" si="0"/>
        <v>264067.40000000002</v>
      </c>
      <c r="I14" s="6">
        <v>3603386</v>
      </c>
      <c r="J14" s="6">
        <v>0</v>
      </c>
      <c r="K14" s="11">
        <f t="shared" si="1"/>
        <v>3603386</v>
      </c>
      <c r="L14" s="11"/>
      <c r="M14" s="42">
        <f t="shared" si="2"/>
        <v>13.645705603948082</v>
      </c>
      <c r="N14" s="31">
        <f t="shared" si="3"/>
        <v>0.12950039387005491</v>
      </c>
      <c r="O14" s="30">
        <f t="shared" si="4"/>
        <v>7.4976820640865582E-2</v>
      </c>
      <c r="P14" s="1"/>
      <c r="Q14" s="1"/>
      <c r="R14" s="1"/>
      <c r="S14" s="2"/>
    </row>
    <row r="15" spans="1:21" x14ac:dyDescent="0.25">
      <c r="A15">
        <v>1997</v>
      </c>
      <c r="B15" s="6">
        <v>664508</v>
      </c>
      <c r="C15" s="6"/>
      <c r="D15" s="6">
        <v>79605</v>
      </c>
      <c r="E15" s="6">
        <v>108805</v>
      </c>
      <c r="F15" s="6">
        <v>528515</v>
      </c>
      <c r="G15" s="6">
        <v>0</v>
      </c>
      <c r="H15" s="10">
        <f t="shared" si="0"/>
        <v>784363.25</v>
      </c>
      <c r="I15" s="6">
        <v>4295004</v>
      </c>
      <c r="J15" s="6">
        <v>0</v>
      </c>
      <c r="K15" s="11">
        <f t="shared" si="1"/>
        <v>4295004</v>
      </c>
      <c r="L15" s="11"/>
      <c r="M15" s="42">
        <f t="shared" si="2"/>
        <v>5.4757843384426792</v>
      </c>
      <c r="N15" s="31">
        <f t="shared" si="3"/>
        <v>0.38465690885052961</v>
      </c>
      <c r="O15" s="30">
        <f t="shared" si="4"/>
        <v>8.9367540574282145E-2</v>
      </c>
      <c r="P15" s="1"/>
      <c r="Q15" s="1"/>
      <c r="R15" s="1"/>
      <c r="S15" s="2"/>
    </row>
    <row r="16" spans="1:21" x14ac:dyDescent="0.25">
      <c r="A16">
        <v>1998</v>
      </c>
      <c r="B16" s="6">
        <v>1468530</v>
      </c>
      <c r="C16" s="6"/>
      <c r="D16" s="6">
        <v>169029</v>
      </c>
      <c r="E16" s="6">
        <v>309829</v>
      </c>
      <c r="F16" s="6">
        <v>1344520</v>
      </c>
      <c r="G16" s="6">
        <v>0</v>
      </c>
      <c r="H16" s="10">
        <f t="shared" si="0"/>
        <v>1764953.75</v>
      </c>
      <c r="I16" s="6">
        <v>4847549</v>
      </c>
      <c r="J16" s="6">
        <v>0</v>
      </c>
      <c r="K16" s="11">
        <f t="shared" si="1"/>
        <v>4847549</v>
      </c>
      <c r="L16" s="11"/>
      <c r="M16" s="42">
        <f t="shared" si="2"/>
        <v>2.7465586562820699</v>
      </c>
      <c r="N16" s="31">
        <f t="shared" si="3"/>
        <v>0.8655449547631795</v>
      </c>
      <c r="O16" s="30">
        <f t="shared" si="4"/>
        <v>0.10086452351227632</v>
      </c>
      <c r="P16" s="1"/>
      <c r="Q16" s="1"/>
      <c r="R16" s="1"/>
      <c r="S16" s="2"/>
    </row>
    <row r="17" spans="1:25" x14ac:dyDescent="0.25">
      <c r="A17">
        <v>1999</v>
      </c>
      <c r="B17" s="6">
        <v>1505026</v>
      </c>
      <c r="C17" s="6"/>
      <c r="D17" s="6">
        <v>236013</v>
      </c>
      <c r="E17" s="6">
        <v>564232</v>
      </c>
      <c r="F17" s="6">
        <v>2750338</v>
      </c>
      <c r="G17" s="6">
        <v>0</v>
      </c>
      <c r="H17" s="10">
        <f t="shared" si="0"/>
        <v>2039124.3</v>
      </c>
      <c r="I17" s="6">
        <v>7408640</v>
      </c>
      <c r="J17" s="6">
        <v>0</v>
      </c>
      <c r="K17" s="11">
        <f t="shared" si="1"/>
        <v>7408640</v>
      </c>
      <c r="L17" s="11"/>
      <c r="M17" s="42">
        <f t="shared" si="2"/>
        <v>3.6332458987419254</v>
      </c>
      <c r="N17" s="32">
        <f t="shared" si="3"/>
        <v>1</v>
      </c>
      <c r="O17" s="30">
        <f t="shared" si="4"/>
        <v>0.15415397419891802</v>
      </c>
      <c r="P17" s="1"/>
      <c r="Q17" s="1"/>
      <c r="R17" s="1"/>
      <c r="S17" s="2"/>
    </row>
    <row r="18" spans="1:25" x14ac:dyDescent="0.25">
      <c r="A18">
        <v>2000</v>
      </c>
      <c r="B18" s="6">
        <v>433319</v>
      </c>
      <c r="C18" s="6"/>
      <c r="D18" s="6">
        <v>79287</v>
      </c>
      <c r="E18" s="6">
        <v>128964</v>
      </c>
      <c r="F18" s="6">
        <v>569153</v>
      </c>
      <c r="G18" s="6">
        <v>0</v>
      </c>
      <c r="H18" s="10">
        <f t="shared" si="0"/>
        <v>562118.80000000005</v>
      </c>
      <c r="I18" s="6">
        <v>9239132</v>
      </c>
      <c r="J18" s="6">
        <v>0</v>
      </c>
      <c r="K18" s="11">
        <f t="shared" si="1"/>
        <v>9239132</v>
      </c>
      <c r="L18" s="11"/>
      <c r="M18" s="42">
        <f t="shared" si="2"/>
        <v>16.436262227842228</v>
      </c>
      <c r="N18" s="31">
        <f t="shared" si="3"/>
        <v>0.27566676538551377</v>
      </c>
      <c r="O18" s="30">
        <f t="shared" si="4"/>
        <v>0.19224161464835623</v>
      </c>
      <c r="P18" s="1"/>
      <c r="Q18" s="1"/>
      <c r="R18" s="1"/>
      <c r="S18" s="2"/>
    </row>
    <row r="19" spans="1:25" x14ac:dyDescent="0.25">
      <c r="A19">
        <v>2001</v>
      </c>
      <c r="B19" s="6">
        <v>143605</v>
      </c>
      <c r="C19" s="6"/>
      <c r="D19" s="6">
        <v>48047</v>
      </c>
      <c r="E19" s="6">
        <v>71280</v>
      </c>
      <c r="F19" s="6">
        <v>269147</v>
      </c>
      <c r="G19" s="6">
        <v>0</v>
      </c>
      <c r="H19" s="10">
        <f t="shared" si="0"/>
        <v>212363.2</v>
      </c>
      <c r="I19" s="6">
        <v>9001711</v>
      </c>
      <c r="J19" s="6">
        <v>0</v>
      </c>
      <c r="K19" s="11">
        <f t="shared" si="1"/>
        <v>9001711</v>
      </c>
      <c r="L19" s="11"/>
      <c r="M19" s="42">
        <f t="shared" si="2"/>
        <v>42.388281020440452</v>
      </c>
      <c r="N19" s="33">
        <f t="shared" si="3"/>
        <v>0.10414431332116439</v>
      </c>
      <c r="O19" s="30">
        <f t="shared" si="4"/>
        <v>0.18730151893466501</v>
      </c>
      <c r="P19" s="1"/>
      <c r="Q19" s="1"/>
      <c r="R19" s="1"/>
      <c r="S19" s="2"/>
    </row>
    <row r="20" spans="1:25" x14ac:dyDescent="0.25">
      <c r="A20">
        <v>2002</v>
      </c>
      <c r="B20" s="6">
        <v>222029</v>
      </c>
      <c r="C20" s="6"/>
      <c r="D20" s="6">
        <v>70027</v>
      </c>
      <c r="E20" s="6">
        <v>62027</v>
      </c>
      <c r="F20" s="6">
        <v>230027</v>
      </c>
      <c r="G20" s="6">
        <v>0</v>
      </c>
      <c r="H20" s="10">
        <f t="shared" si="0"/>
        <v>295551.95</v>
      </c>
      <c r="I20" s="6">
        <v>10539026</v>
      </c>
      <c r="J20" s="6">
        <v>0</v>
      </c>
      <c r="K20" s="11">
        <f t="shared" si="1"/>
        <v>10539026</v>
      </c>
      <c r="L20" s="11"/>
      <c r="M20" s="42">
        <f t="shared" si="2"/>
        <v>35.658793657088033</v>
      </c>
      <c r="N20" s="31">
        <f t="shared" si="3"/>
        <v>0.14494062475740199</v>
      </c>
      <c r="O20" s="30">
        <f t="shared" si="4"/>
        <v>0.21928893050353723</v>
      </c>
      <c r="P20" s="1"/>
      <c r="Q20" s="1"/>
      <c r="R20" s="1"/>
      <c r="S20" s="2"/>
    </row>
    <row r="21" spans="1:25" x14ac:dyDescent="0.25">
      <c r="A21">
        <v>2003</v>
      </c>
      <c r="B21" s="6">
        <v>416032</v>
      </c>
      <c r="C21" s="6"/>
      <c r="D21" s="6">
        <v>79029</v>
      </c>
      <c r="E21" s="6">
        <v>74029</v>
      </c>
      <c r="F21" s="6">
        <v>245029</v>
      </c>
      <c r="G21" s="6">
        <v>0</v>
      </c>
      <c r="H21" s="10">
        <f t="shared" si="0"/>
        <v>498556.65</v>
      </c>
      <c r="I21" s="6">
        <v>8495008</v>
      </c>
      <c r="J21" s="6">
        <v>0</v>
      </c>
      <c r="K21" s="11">
        <f t="shared" si="1"/>
        <v>8495008</v>
      </c>
      <c r="L21" s="11"/>
      <c r="M21" s="42">
        <f t="shared" si="2"/>
        <v>17.039203067494938</v>
      </c>
      <c r="N21" s="33">
        <f t="shared" si="3"/>
        <v>0.2444954679810348</v>
      </c>
      <c r="O21" s="30">
        <f t="shared" si="4"/>
        <v>0.17675838535164379</v>
      </c>
      <c r="P21" s="1"/>
      <c r="Q21" s="1"/>
      <c r="R21" s="1"/>
      <c r="S21" s="2"/>
    </row>
    <row r="22" spans="1:25" x14ac:dyDescent="0.25">
      <c r="A22">
        <v>2004</v>
      </c>
      <c r="B22" s="6">
        <v>417019</v>
      </c>
      <c r="C22" s="6"/>
      <c r="D22" s="6">
        <v>98040</v>
      </c>
      <c r="E22" s="6">
        <v>72014</v>
      </c>
      <c r="F22" s="6">
        <v>250016</v>
      </c>
      <c r="G22" s="6">
        <v>0</v>
      </c>
      <c r="H22" s="10">
        <f t="shared" si="0"/>
        <v>509044.1</v>
      </c>
      <c r="I22" s="6">
        <v>8882754</v>
      </c>
      <c r="J22" s="6">
        <v>0</v>
      </c>
      <c r="K22" s="11">
        <f t="shared" si="1"/>
        <v>8882754</v>
      </c>
      <c r="L22" s="11"/>
      <c r="M22" s="42">
        <f t="shared" si="2"/>
        <v>17.449871239053749</v>
      </c>
      <c r="N22" s="31">
        <f t="shared" si="3"/>
        <v>0.24963858260136471</v>
      </c>
      <c r="O22" s="30">
        <f t="shared" si="4"/>
        <v>0.1848263420724095</v>
      </c>
      <c r="P22" s="1"/>
      <c r="Q22" s="1"/>
      <c r="R22" s="1"/>
      <c r="S22" s="2"/>
    </row>
    <row r="23" spans="1:25" x14ac:dyDescent="0.25">
      <c r="A23">
        <v>2005</v>
      </c>
      <c r="B23" s="6">
        <v>356555</v>
      </c>
      <c r="C23" s="6"/>
      <c r="D23" s="6">
        <v>80023</v>
      </c>
      <c r="E23" s="6">
        <v>72015</v>
      </c>
      <c r="F23" s="6">
        <v>300043</v>
      </c>
      <c r="G23" s="6">
        <v>0</v>
      </c>
      <c r="H23" s="10">
        <f t="shared" si="0"/>
        <v>444574.55</v>
      </c>
      <c r="I23" s="6">
        <v>8891025</v>
      </c>
      <c r="J23" s="6">
        <v>0</v>
      </c>
      <c r="K23" s="11">
        <f t="shared" si="1"/>
        <v>8891025</v>
      </c>
      <c r="L23" s="11"/>
      <c r="M23" s="42">
        <f t="shared" si="2"/>
        <v>19.998951806845444</v>
      </c>
      <c r="N23" s="33">
        <f t="shared" si="3"/>
        <v>0.21802229025469413</v>
      </c>
      <c r="O23" s="30">
        <f t="shared" si="4"/>
        <v>0.18499843945068664</v>
      </c>
      <c r="P23" s="1"/>
      <c r="Q23" s="1"/>
      <c r="R23" s="1"/>
      <c r="S23" s="2"/>
    </row>
    <row r="24" spans="1:25" x14ac:dyDescent="0.25">
      <c r="A24">
        <v>2006</v>
      </c>
      <c r="B24" s="6">
        <v>237510</v>
      </c>
      <c r="C24" s="6"/>
      <c r="D24" s="6">
        <v>66005</v>
      </c>
      <c r="E24" s="6">
        <v>60004</v>
      </c>
      <c r="F24" s="6">
        <v>285006</v>
      </c>
      <c r="G24" s="6">
        <v>323000</v>
      </c>
      <c r="H24" s="10">
        <f t="shared" si="0"/>
        <v>637014.1</v>
      </c>
      <c r="I24" s="6">
        <v>10676522</v>
      </c>
      <c r="J24" s="6">
        <v>0</v>
      </c>
      <c r="K24" s="11">
        <f t="shared" si="1"/>
        <v>10676522</v>
      </c>
      <c r="L24" s="11"/>
      <c r="M24" s="42">
        <f t="shared" si="2"/>
        <v>16.760260094713761</v>
      </c>
      <c r="N24" s="31">
        <f t="shared" si="3"/>
        <v>0.31239591426574631</v>
      </c>
      <c r="O24" s="30">
        <f t="shared" si="4"/>
        <v>0.22214985434873075</v>
      </c>
      <c r="P24" s="1"/>
      <c r="Q24" s="1"/>
      <c r="R24" s="1"/>
      <c r="S24" s="2"/>
    </row>
    <row r="25" spans="1:25" x14ac:dyDescent="0.25">
      <c r="A25">
        <v>2007</v>
      </c>
      <c r="B25" s="6">
        <v>140016</v>
      </c>
      <c r="C25" s="6"/>
      <c r="D25" s="6">
        <v>47002</v>
      </c>
      <c r="E25" s="6">
        <v>34004</v>
      </c>
      <c r="F25" s="6">
        <v>190010</v>
      </c>
      <c r="G25" s="6">
        <v>167500</v>
      </c>
      <c r="H25" s="10">
        <f t="shared" si="0"/>
        <v>358519</v>
      </c>
      <c r="I25" s="6">
        <v>9028036</v>
      </c>
      <c r="J25" s="6">
        <v>0</v>
      </c>
      <c r="K25" s="11">
        <f t="shared" si="1"/>
        <v>9028036</v>
      </c>
      <c r="L25" s="11"/>
      <c r="M25" s="42">
        <f t="shared" si="2"/>
        <v>25.181471553808862</v>
      </c>
      <c r="N25" s="33">
        <f t="shared" si="3"/>
        <v>0.17582008119858117</v>
      </c>
      <c r="O25" s="30">
        <f t="shared" si="4"/>
        <v>0.18784927174365376</v>
      </c>
      <c r="P25" s="1"/>
      <c r="Q25" s="1"/>
      <c r="R25" s="1"/>
      <c r="S25" s="2"/>
    </row>
    <row r="26" spans="1:25" x14ac:dyDescent="0.25">
      <c r="A26">
        <v>2008</v>
      </c>
      <c r="B26" s="6">
        <v>710000</v>
      </c>
      <c r="C26" s="6"/>
      <c r="D26" s="6">
        <v>61000</v>
      </c>
      <c r="E26" s="6">
        <v>70000</v>
      </c>
      <c r="F26" s="6">
        <v>305000</v>
      </c>
      <c r="G26" s="6">
        <v>172000</v>
      </c>
      <c r="H26" s="10">
        <f t="shared" si="0"/>
        <v>960500</v>
      </c>
      <c r="I26" s="6">
        <v>20583000</v>
      </c>
      <c r="J26" s="6">
        <v>0</v>
      </c>
      <c r="K26" s="11">
        <f t="shared" si="1"/>
        <v>20583000</v>
      </c>
      <c r="L26" s="11"/>
      <c r="M26" s="42">
        <f t="shared" si="2"/>
        <v>21.4294638209266</v>
      </c>
      <c r="N26" s="33">
        <f t="shared" si="3"/>
        <v>0.47103553226255013</v>
      </c>
      <c r="O26" s="30">
        <f t="shared" si="4"/>
        <v>0.42827715355805246</v>
      </c>
      <c r="P26" s="1"/>
      <c r="Q26" s="1"/>
      <c r="R26" s="1"/>
      <c r="S26" s="2"/>
    </row>
    <row r="27" spans="1:25" x14ac:dyDescent="0.25">
      <c r="A27">
        <v>2009</v>
      </c>
      <c r="B27" s="6">
        <v>1493000</v>
      </c>
      <c r="C27" s="6"/>
      <c r="D27" s="6">
        <v>110000</v>
      </c>
      <c r="E27" s="6">
        <v>110000</v>
      </c>
      <c r="F27" s="6">
        <v>270000</v>
      </c>
      <c r="G27" s="6">
        <v>200000</v>
      </c>
      <c r="H27" s="10">
        <f t="shared" si="0"/>
        <v>1802500</v>
      </c>
      <c r="I27" s="6">
        <v>30459000</v>
      </c>
      <c r="J27" s="6">
        <v>0</v>
      </c>
      <c r="K27" s="11">
        <f t="shared" si="1"/>
        <v>30459000</v>
      </c>
      <c r="L27" s="11"/>
      <c r="M27" s="42">
        <f t="shared" si="2"/>
        <v>16.898196948682386</v>
      </c>
      <c r="N27" s="33">
        <f t="shared" si="3"/>
        <v>0.88395788329333325</v>
      </c>
      <c r="O27" s="30">
        <f t="shared" si="4"/>
        <v>0.63377028714107364</v>
      </c>
      <c r="P27" s="1"/>
      <c r="Q27" s="1"/>
      <c r="R27" s="1"/>
      <c r="S27" s="2"/>
    </row>
    <row r="28" spans="1:25" x14ac:dyDescent="0.25">
      <c r="A28">
        <v>2010</v>
      </c>
      <c r="B28" s="6">
        <v>1125000</v>
      </c>
      <c r="C28" s="6"/>
      <c r="D28" s="6">
        <v>81000</v>
      </c>
      <c r="E28" s="6">
        <v>86000</v>
      </c>
      <c r="F28" s="6">
        <v>435000</v>
      </c>
      <c r="G28" s="6">
        <v>209000</v>
      </c>
      <c r="H28" s="10">
        <f t="shared" si="0"/>
        <v>1439500</v>
      </c>
      <c r="I28" s="6">
        <v>34764500</v>
      </c>
      <c r="J28" s="6">
        <v>165000</v>
      </c>
      <c r="K28" s="11">
        <f t="shared" si="1"/>
        <v>35589500</v>
      </c>
      <c r="L28" s="11"/>
      <c r="M28" s="42">
        <f t="shared" si="2"/>
        <v>24.72351510941299</v>
      </c>
      <c r="N28" s="31">
        <f t="shared" si="3"/>
        <v>0.70594029015298376</v>
      </c>
      <c r="O28" s="30">
        <f t="shared" si="4"/>
        <v>0.74052226383687059</v>
      </c>
      <c r="P28" s="1"/>
      <c r="Q28" s="1"/>
      <c r="R28" s="1"/>
      <c r="S28" s="2"/>
    </row>
    <row r="29" spans="1:25" x14ac:dyDescent="0.25">
      <c r="A29">
        <v>2011</v>
      </c>
      <c r="B29" s="6">
        <v>857000</v>
      </c>
      <c r="C29" s="6"/>
      <c r="D29" s="6">
        <v>70000</v>
      </c>
      <c r="E29" s="6">
        <v>80000</v>
      </c>
      <c r="F29" s="6">
        <v>350000</v>
      </c>
      <c r="G29" s="6">
        <v>174500</v>
      </c>
      <c r="H29" s="10">
        <f t="shared" si="0"/>
        <v>1121500</v>
      </c>
      <c r="I29" s="6">
        <v>40020000</v>
      </c>
      <c r="J29" s="6">
        <v>465100</v>
      </c>
      <c r="K29" s="11">
        <f t="shared" si="1"/>
        <v>42345500</v>
      </c>
      <c r="L29" s="11"/>
      <c r="M29" s="42">
        <f t="shared" si="2"/>
        <v>37.757913508693711</v>
      </c>
      <c r="N29" s="33">
        <f t="shared" si="3"/>
        <v>0.54999099368292559</v>
      </c>
      <c r="O29" s="30">
        <f t="shared" si="4"/>
        <v>0.88109654598418641</v>
      </c>
      <c r="P29" s="1"/>
      <c r="Q29" s="1"/>
      <c r="R29" s="1"/>
      <c r="S29" s="2"/>
    </row>
    <row r="30" spans="1:25" x14ac:dyDescent="0.25">
      <c r="A30">
        <v>2012</v>
      </c>
      <c r="B30" s="6">
        <v>667000</v>
      </c>
      <c r="C30" s="6"/>
      <c r="D30" s="6">
        <v>71000</v>
      </c>
      <c r="E30" s="6">
        <v>76000</v>
      </c>
      <c r="F30" s="6">
        <v>315000</v>
      </c>
      <c r="G30" s="6">
        <v>132000</v>
      </c>
      <c r="H30" s="10">
        <f t="shared" si="0"/>
        <v>885000</v>
      </c>
      <c r="I30" s="6">
        <v>33742500</v>
      </c>
      <c r="J30" s="6">
        <v>113800</v>
      </c>
      <c r="K30" s="11">
        <f t="shared" si="1"/>
        <v>34311500</v>
      </c>
      <c r="L30" s="11"/>
      <c r="M30" s="42">
        <f t="shared" si="2"/>
        <v>38.77005649717514</v>
      </c>
      <c r="N30" s="31">
        <f t="shared" si="3"/>
        <v>0.43400983451572817</v>
      </c>
      <c r="O30" s="30">
        <f t="shared" si="4"/>
        <v>0.71393050353724508</v>
      </c>
      <c r="P30" s="1"/>
      <c r="Q30" s="1"/>
      <c r="R30" s="1"/>
      <c r="S30" s="2"/>
    </row>
    <row r="31" spans="1:25" x14ac:dyDescent="0.25">
      <c r="A31">
        <v>2013</v>
      </c>
      <c r="B31" s="6">
        <v>743500</v>
      </c>
      <c r="C31" s="6"/>
      <c r="D31" s="6">
        <v>58000</v>
      </c>
      <c r="E31" s="6">
        <v>122000</v>
      </c>
      <c r="F31" s="6">
        <v>535000</v>
      </c>
      <c r="G31" s="6">
        <v>239000</v>
      </c>
      <c r="H31" s="10">
        <f t="shared" si="0"/>
        <v>1095500</v>
      </c>
      <c r="I31" s="6">
        <v>42675000</v>
      </c>
      <c r="J31" s="6">
        <v>160000</v>
      </c>
      <c r="K31" s="11">
        <f t="shared" si="1"/>
        <v>43475000</v>
      </c>
      <c r="L31" s="11"/>
      <c r="M31" s="42">
        <f t="shared" si="2"/>
        <v>39.685075308078503</v>
      </c>
      <c r="N31" s="33">
        <f t="shared" si="3"/>
        <v>0.53724042227342395</v>
      </c>
      <c r="O31" s="59">
        <f t="shared" si="4"/>
        <v>0.90459841864336243</v>
      </c>
      <c r="P31" s="1"/>
      <c r="Q31" s="1"/>
      <c r="R31" s="1"/>
      <c r="S31" s="2"/>
      <c r="X31" s="3"/>
      <c r="Y31" s="4"/>
    </row>
    <row r="32" spans="1:25" x14ac:dyDescent="0.25">
      <c r="A32">
        <v>2014</v>
      </c>
      <c r="B32" s="6">
        <v>415500</v>
      </c>
      <c r="C32" s="6"/>
      <c r="D32" s="6">
        <v>46000</v>
      </c>
      <c r="E32" s="6">
        <v>118000</v>
      </c>
      <c r="F32" s="6">
        <v>565000</v>
      </c>
      <c r="G32" s="6">
        <v>177500</v>
      </c>
      <c r="H32" s="10">
        <f t="shared" ref="H32:H36" si="5">SUM(B32+(0.5*D32)+(0.25*E32)+(0.1*F32)+G32)</f>
        <v>702000</v>
      </c>
      <c r="I32" s="1">
        <v>44006000</v>
      </c>
      <c r="J32" s="6">
        <v>136000</v>
      </c>
      <c r="K32" s="11">
        <f t="shared" ref="K32:K36" si="6">I32+(J32*5)</f>
        <v>44686000</v>
      </c>
      <c r="L32" s="11"/>
      <c r="M32" s="42">
        <f t="shared" ref="M32:M34" si="7">K32/H32</f>
        <v>63.655270655270655</v>
      </c>
      <c r="N32" s="31">
        <f t="shared" si="3"/>
        <v>0.3442654280565437</v>
      </c>
      <c r="O32" s="59">
        <f t="shared" si="4"/>
        <v>0.92979608822305448</v>
      </c>
      <c r="P32" s="1"/>
      <c r="Q32" s="1"/>
      <c r="R32" s="1"/>
      <c r="S32" s="2"/>
      <c r="X32" s="3"/>
      <c r="Y32" s="4"/>
    </row>
    <row r="33" spans="1:25" x14ac:dyDescent="0.25">
      <c r="A33">
        <v>2015</v>
      </c>
      <c r="B33" s="6">
        <v>626500</v>
      </c>
      <c r="C33" s="6"/>
      <c r="D33" s="6">
        <v>75000</v>
      </c>
      <c r="E33" s="6">
        <v>158000</v>
      </c>
      <c r="F33" s="6">
        <v>980000</v>
      </c>
      <c r="G33" s="6">
        <v>220500</v>
      </c>
      <c r="H33" s="10">
        <f t="shared" si="5"/>
        <v>1022000</v>
      </c>
      <c r="I33" s="1">
        <v>47000000</v>
      </c>
      <c r="J33" s="6">
        <v>212000</v>
      </c>
      <c r="K33" s="11">
        <f t="shared" si="6"/>
        <v>48060000</v>
      </c>
      <c r="L33" s="11"/>
      <c r="M33" s="42">
        <f t="shared" si="7"/>
        <v>47.025440313111545</v>
      </c>
      <c r="N33" s="31">
        <f t="shared" si="3"/>
        <v>0.50119553771194825</v>
      </c>
      <c r="O33" s="34">
        <f t="shared" si="4"/>
        <v>1</v>
      </c>
      <c r="P33" s="1"/>
      <c r="Q33" s="1"/>
      <c r="R33" s="1"/>
      <c r="S33" s="2"/>
      <c r="X33" s="3"/>
      <c r="Y33" s="4"/>
    </row>
    <row r="34" spans="1:25" x14ac:dyDescent="0.25">
      <c r="A34">
        <v>2016</v>
      </c>
      <c r="B34" s="6">
        <v>817500</v>
      </c>
      <c r="C34" s="6"/>
      <c r="D34" s="6">
        <v>74000</v>
      </c>
      <c r="E34" s="6">
        <v>152000</v>
      </c>
      <c r="F34" s="6">
        <v>925000</v>
      </c>
      <c r="G34" s="6">
        <v>219500</v>
      </c>
      <c r="H34" s="10">
        <f t="shared" si="5"/>
        <v>1204500</v>
      </c>
      <c r="I34" s="1">
        <v>37701500</v>
      </c>
      <c r="J34" s="6">
        <v>308000</v>
      </c>
      <c r="K34" s="11">
        <f t="shared" si="6"/>
        <v>39241500</v>
      </c>
      <c r="L34" s="11"/>
      <c r="M34" s="42">
        <f t="shared" si="7"/>
        <v>32.579078455790786</v>
      </c>
      <c r="N34" s="31">
        <f t="shared" ref="N34" si="8">H34/MAX($H$4:$H$43)</f>
        <v>0.59069474087479612</v>
      </c>
      <c r="O34" s="59">
        <f t="shared" ref="O34:O36" si="9">K34/MAX($K$4:$K$43)</f>
        <v>0.81651061173533079</v>
      </c>
      <c r="P34" s="1"/>
      <c r="Q34" s="1"/>
      <c r="R34" s="1"/>
      <c r="S34" s="2"/>
      <c r="X34" s="3"/>
      <c r="Y34" s="4"/>
    </row>
    <row r="35" spans="1:25" x14ac:dyDescent="0.25">
      <c r="A35">
        <v>2017</v>
      </c>
      <c r="B35" s="6">
        <v>228500</v>
      </c>
      <c r="C35" s="6"/>
      <c r="D35" s="6">
        <v>37000</v>
      </c>
      <c r="E35" s="6">
        <v>64000</v>
      </c>
      <c r="F35" s="6">
        <v>395000</v>
      </c>
      <c r="G35" s="6">
        <v>99500</v>
      </c>
      <c r="H35" s="10">
        <f t="shared" si="5"/>
        <v>402000</v>
      </c>
      <c r="I35" s="1">
        <v>18065500</v>
      </c>
      <c r="J35" s="6">
        <v>147400</v>
      </c>
      <c r="K35" s="11">
        <f t="shared" si="6"/>
        <v>18802500</v>
      </c>
      <c r="L35" s="11"/>
      <c r="M35" s="42">
        <f t="shared" ref="M35:M43" si="10">K35/H35</f>
        <v>46.772388059701491</v>
      </c>
      <c r="N35" s="31">
        <f t="shared" ref="N35:N43" si="11">H35/MAX($H$4:$H$43)</f>
        <v>0.19714345025460192</v>
      </c>
      <c r="O35" s="59">
        <f t="shared" si="9"/>
        <v>0.39122971285892633</v>
      </c>
      <c r="P35" s="1"/>
      <c r="Q35" s="1"/>
      <c r="R35" s="1"/>
      <c r="S35" s="2"/>
      <c r="X35" s="3"/>
      <c r="Y35" s="4"/>
    </row>
    <row r="36" spans="1:25" x14ac:dyDescent="0.25">
      <c r="A36">
        <v>2018</v>
      </c>
      <c r="B36" s="6">
        <v>191000</v>
      </c>
      <c r="C36" s="6"/>
      <c r="D36" s="6">
        <v>32000</v>
      </c>
      <c r="E36" s="6">
        <v>62000</v>
      </c>
      <c r="F36" s="6">
        <v>230000</v>
      </c>
      <c r="G36" s="6">
        <v>121500</v>
      </c>
      <c r="H36" s="10">
        <f t="shared" si="5"/>
        <v>367000</v>
      </c>
      <c r="I36" s="1">
        <v>15700000</v>
      </c>
      <c r="J36" s="6">
        <v>142500</v>
      </c>
      <c r="K36" s="11">
        <f t="shared" si="6"/>
        <v>16412500</v>
      </c>
      <c r="L36" s="11"/>
      <c r="M36" s="42">
        <f t="shared" si="10"/>
        <v>44.720708446866482</v>
      </c>
      <c r="N36" s="31">
        <f t="shared" si="11"/>
        <v>0.17997921951104207</v>
      </c>
      <c r="O36" s="59">
        <f t="shared" si="9"/>
        <v>0.34150020807324177</v>
      </c>
      <c r="P36" s="1"/>
      <c r="Q36" s="1"/>
      <c r="R36" s="1"/>
      <c r="S36" s="2"/>
      <c r="X36" s="3"/>
      <c r="Y36" s="4"/>
    </row>
    <row r="37" spans="1:25" x14ac:dyDescent="0.25">
      <c r="A37">
        <v>2019</v>
      </c>
      <c r="B37" s="6">
        <v>108000</v>
      </c>
      <c r="C37" s="6"/>
      <c r="D37" s="6">
        <v>30000</v>
      </c>
      <c r="E37" s="6">
        <v>38000</v>
      </c>
      <c r="F37" s="6">
        <v>195000</v>
      </c>
      <c r="G37" s="6">
        <v>61500</v>
      </c>
      <c r="H37" s="10">
        <f t="shared" si="0"/>
        <v>213500</v>
      </c>
      <c r="I37" s="1">
        <v>14863500</v>
      </c>
      <c r="J37" s="6">
        <v>312700</v>
      </c>
      <c r="K37" s="11">
        <f t="shared" si="1"/>
        <v>16427000</v>
      </c>
      <c r="L37" s="11"/>
      <c r="M37" s="42">
        <f t="shared" si="10"/>
        <v>76.941451990632316</v>
      </c>
      <c r="N37" s="31">
        <f t="shared" si="11"/>
        <v>0.1047018075357152</v>
      </c>
      <c r="O37" s="59">
        <f t="shared" si="4"/>
        <v>0.34180191427382439</v>
      </c>
      <c r="P37" s="1"/>
      <c r="Q37" s="1"/>
      <c r="R37" s="1"/>
      <c r="S37" s="2"/>
      <c r="X37" s="3"/>
      <c r="Y37" s="4"/>
    </row>
    <row r="38" spans="1:25" x14ac:dyDescent="0.25">
      <c r="A38">
        <v>2020</v>
      </c>
      <c r="B38" s="6">
        <v>747500</v>
      </c>
      <c r="C38" s="6"/>
      <c r="D38" s="6">
        <v>70000</v>
      </c>
      <c r="E38" s="6">
        <v>106000</v>
      </c>
      <c r="F38" s="6">
        <v>350000</v>
      </c>
      <c r="G38" s="6">
        <v>242000</v>
      </c>
      <c r="H38" s="10">
        <f t="shared" ref="H38:H42" si="12">SUM(B38+(0.5*D38)+(0.25*E38)+(0.1*F38)+G38)</f>
        <v>1086000</v>
      </c>
      <c r="I38" s="1">
        <v>30089500</v>
      </c>
      <c r="J38" s="6">
        <v>0</v>
      </c>
      <c r="K38" s="11">
        <f t="shared" ref="K38:K40" si="13">I38+(J38*5)</f>
        <v>30089500</v>
      </c>
      <c r="L38" s="11"/>
      <c r="M38" s="42">
        <f t="shared" si="10"/>
        <v>27.706721915285453</v>
      </c>
      <c r="N38" s="31">
        <f t="shared" si="11"/>
        <v>0.53258155964302911</v>
      </c>
      <c r="O38" s="59">
        <f t="shared" ref="O38:O42" si="14">K38/MAX($K$4:$K$43)</f>
        <v>0.62608198085726174</v>
      </c>
      <c r="P38" s="1"/>
      <c r="Q38" s="1"/>
      <c r="R38" s="1"/>
      <c r="S38" s="2"/>
      <c r="X38" s="3"/>
      <c r="Y38" s="4"/>
    </row>
    <row r="39" spans="1:25" x14ac:dyDescent="0.25">
      <c r="A39">
        <v>2021</v>
      </c>
      <c r="B39" s="6">
        <v>1115500</v>
      </c>
      <c r="C39" s="6"/>
      <c r="D39" s="6">
        <v>95000</v>
      </c>
      <c r="E39" s="6">
        <v>162000</v>
      </c>
      <c r="F39" s="6">
        <v>490000</v>
      </c>
      <c r="G39" s="6">
        <v>350500</v>
      </c>
      <c r="H39" s="10">
        <f t="shared" si="12"/>
        <v>1603000</v>
      </c>
      <c r="I39" s="1">
        <v>28275000</v>
      </c>
      <c r="J39" s="6">
        <v>0</v>
      </c>
      <c r="K39" s="11">
        <f t="shared" si="13"/>
        <v>28275000</v>
      </c>
      <c r="L39" s="11"/>
      <c r="M39" s="42">
        <f t="shared" si="10"/>
        <v>17.638802245789144</v>
      </c>
      <c r="N39" s="31">
        <f t="shared" si="11"/>
        <v>0.78612176805504208</v>
      </c>
      <c r="O39" s="59">
        <f t="shared" si="14"/>
        <v>0.58832709113607995</v>
      </c>
      <c r="P39" s="1"/>
      <c r="Q39" s="1"/>
      <c r="R39" s="1"/>
      <c r="S39" s="2"/>
      <c r="X39" s="3"/>
      <c r="Y39" s="4"/>
    </row>
    <row r="40" spans="1:25" x14ac:dyDescent="0.25">
      <c r="A40">
        <v>2022</v>
      </c>
      <c r="B40" s="6">
        <v>850000</v>
      </c>
      <c r="C40" s="6"/>
      <c r="D40" s="6">
        <v>75000</v>
      </c>
      <c r="E40" s="6">
        <v>140000</v>
      </c>
      <c r="F40" s="6">
        <v>575000</v>
      </c>
      <c r="G40" s="6">
        <v>410000</v>
      </c>
      <c r="H40" s="10">
        <f t="shared" si="12"/>
        <v>1390000</v>
      </c>
      <c r="I40" s="1">
        <v>15963500</v>
      </c>
      <c r="J40" s="6">
        <v>0</v>
      </c>
      <c r="K40" s="11">
        <f t="shared" si="13"/>
        <v>15963500</v>
      </c>
      <c r="L40" s="11"/>
      <c r="M40" s="42">
        <f t="shared" ref="M40:M42" si="15">K40/H40</f>
        <v>11.48453237410072</v>
      </c>
      <c r="N40" s="31">
        <f t="shared" ref="N40" si="16">H40/MAX($H$4:$H$43)</f>
        <v>0.68166516381566344</v>
      </c>
      <c r="O40" s="59">
        <f t="shared" si="14"/>
        <v>0.33215771951727008</v>
      </c>
      <c r="P40" s="1"/>
      <c r="Q40" s="1"/>
      <c r="R40" s="1"/>
      <c r="S40" s="2"/>
      <c r="X40" s="3"/>
      <c r="Y40" s="4"/>
    </row>
    <row r="41" spans="1:25" x14ac:dyDescent="0.25">
      <c r="A41">
        <v>2023</v>
      </c>
      <c r="B41" s="6">
        <v>924000</v>
      </c>
      <c r="C41" s="6"/>
      <c r="D41" s="6">
        <v>102000</v>
      </c>
      <c r="E41" s="6">
        <v>198000</v>
      </c>
      <c r="F41" s="6">
        <v>675000</v>
      </c>
      <c r="G41" s="6">
        <v>387000</v>
      </c>
      <c r="H41" s="10">
        <f t="shared" si="12"/>
        <v>1479000</v>
      </c>
      <c r="I41" s="1">
        <v>24750000</v>
      </c>
      <c r="J41" s="6">
        <v>0</v>
      </c>
      <c r="K41" s="11">
        <f>I41+(J41*5)</f>
        <v>24750000</v>
      </c>
      <c r="L41" s="11"/>
      <c r="M41" s="42">
        <f t="shared" si="15"/>
        <v>16.734279918864097</v>
      </c>
      <c r="N41" s="31">
        <f>H41/MAX($H$4:$H$43)</f>
        <v>0.72531135056357277</v>
      </c>
      <c r="O41" s="59">
        <f t="shared" si="14"/>
        <v>0.51498127340823974</v>
      </c>
      <c r="P41" s="1"/>
      <c r="Q41" s="1"/>
      <c r="R41" s="1"/>
      <c r="S41" s="2"/>
      <c r="X41" s="3"/>
      <c r="Y41" s="4"/>
    </row>
    <row r="42" spans="1:25" x14ac:dyDescent="0.25">
      <c r="A42">
        <v>2024</v>
      </c>
      <c r="B42" s="6">
        <v>292000</v>
      </c>
      <c r="C42" s="6"/>
      <c r="D42" s="6">
        <v>46000</v>
      </c>
      <c r="E42" s="6">
        <v>102000</v>
      </c>
      <c r="F42" s="6">
        <v>630000</v>
      </c>
      <c r="G42" s="6">
        <v>186500</v>
      </c>
      <c r="H42" s="10">
        <f t="shared" si="12"/>
        <v>590000</v>
      </c>
      <c r="I42" s="1">
        <v>22860000</v>
      </c>
      <c r="J42" s="6">
        <v>0</v>
      </c>
      <c r="K42" s="11">
        <f>I42+(J42*5)</f>
        <v>22860000</v>
      </c>
      <c r="L42" s="11"/>
      <c r="M42" s="42">
        <f t="shared" si="15"/>
        <v>38.745762711864408</v>
      </c>
      <c r="N42" s="31">
        <f>H42/MAX($H$4:$H$43)</f>
        <v>0.28933988967715207</v>
      </c>
      <c r="O42" s="59">
        <f t="shared" si="14"/>
        <v>0.47565543071161048</v>
      </c>
      <c r="P42" s="1"/>
      <c r="Q42" s="1"/>
      <c r="R42" s="1"/>
      <c r="S42" s="2"/>
      <c r="X42" s="3"/>
      <c r="Y42" s="4"/>
    </row>
    <row r="43" spans="1:25" s="7" customFormat="1" x14ac:dyDescent="0.25">
      <c r="A43">
        <v>2025</v>
      </c>
      <c r="B43" s="1">
        <v>73500</v>
      </c>
      <c r="C43" s="6"/>
      <c r="D43" s="1">
        <v>19000</v>
      </c>
      <c r="E43" s="1">
        <v>32000</v>
      </c>
      <c r="F43" s="1">
        <v>110000</v>
      </c>
      <c r="G43" s="1">
        <v>80500</v>
      </c>
      <c r="H43" s="10">
        <f t="shared" si="0"/>
        <v>182500</v>
      </c>
      <c r="I43" s="1">
        <v>6593500</v>
      </c>
      <c r="J43" s="6">
        <v>0</v>
      </c>
      <c r="K43" s="11">
        <f>I43+(J43*5)</f>
        <v>6593500</v>
      </c>
      <c r="L43" s="11"/>
      <c r="M43" s="42">
        <f t="shared" si="10"/>
        <v>36.128767123287673</v>
      </c>
      <c r="N43" s="31">
        <f t="shared" si="11"/>
        <v>8.9499203162847887E-2</v>
      </c>
      <c r="O43" s="59">
        <f t="shared" si="4"/>
        <v>0.13719309196837287</v>
      </c>
      <c r="Q43" s="8"/>
      <c r="R43" s="8"/>
    </row>
    <row r="44" spans="1:25" s="7" customFormat="1" x14ac:dyDescent="0.25">
      <c r="A44"/>
      <c r="B44" s="6"/>
      <c r="C44" s="6"/>
      <c r="D44" s="6"/>
      <c r="E44" s="6"/>
      <c r="F44" s="6"/>
      <c r="G44" s="6"/>
      <c r="H44" s="28"/>
      <c r="I44" s="6"/>
      <c r="J44" s="6"/>
      <c r="K44" s="28"/>
      <c r="L44" s="28"/>
      <c r="M44" s="9"/>
      <c r="N44" s="29"/>
      <c r="O44" s="29"/>
      <c r="Q44" s="8"/>
      <c r="R44" s="8"/>
    </row>
    <row r="45" spans="1:25" x14ac:dyDescent="0.25">
      <c r="A45" s="7" t="s">
        <v>10</v>
      </c>
      <c r="B45" s="8">
        <f>SUM(B4:B43)</f>
        <v>23261538</v>
      </c>
      <c r="C45" s="8"/>
      <c r="D45" s="8">
        <f>SUM(D4:D43)</f>
        <v>3362746</v>
      </c>
      <c r="E45" s="8">
        <f>SUM(E4:E43)</f>
        <v>4984508</v>
      </c>
      <c r="F45" s="8">
        <f>SUM(F4:F43)</f>
        <v>18835757</v>
      </c>
      <c r="G45" s="8">
        <f>SUM(G4:G43)</f>
        <v>4173500</v>
      </c>
      <c r="H45" s="40">
        <f>SUM(B45+(0.5*D45)+(0.25*E45)+(0.1*F45)+G45)</f>
        <v>32246113.699999999</v>
      </c>
      <c r="I45" s="8">
        <f>SUM(I4:I43)</f>
        <v>664297482</v>
      </c>
      <c r="J45" s="8">
        <f>SUM(J4:J43)</f>
        <v>2162500</v>
      </c>
      <c r="K45" s="12">
        <f>I45+(J45*5)</f>
        <v>675109982</v>
      </c>
      <c r="L45" s="12"/>
      <c r="M45" s="42">
        <f>K45/H45</f>
        <v>20.936165774296082</v>
      </c>
      <c r="N45" s="26" t="s">
        <v>20</v>
      </c>
      <c r="O45" s="26" t="s">
        <v>20</v>
      </c>
      <c r="P45" s="1"/>
      <c r="Q45" s="1"/>
      <c r="R45" s="1"/>
    </row>
    <row r="46" spans="1:25" x14ac:dyDescent="0.25">
      <c r="A46" s="7"/>
      <c r="B46" s="8"/>
      <c r="C46" s="8"/>
      <c r="D46" s="8"/>
      <c r="E46" s="8"/>
      <c r="F46" s="8"/>
      <c r="G46" s="8"/>
      <c r="H46" s="44"/>
      <c r="I46" s="8"/>
      <c r="J46" s="8"/>
      <c r="K46" s="44"/>
      <c r="L46" s="44"/>
      <c r="M46" s="45"/>
      <c r="N46" s="26"/>
      <c r="O46" s="26"/>
      <c r="Q46" s="1"/>
      <c r="S46" s="1"/>
      <c r="U46" s="5"/>
    </row>
    <row r="47" spans="1:25" x14ac:dyDescent="0.25">
      <c r="A47" s="13" t="s">
        <v>15</v>
      </c>
      <c r="B47" s="20"/>
      <c r="C47" s="20"/>
      <c r="F47" s="23"/>
      <c r="G47" s="21" t="s">
        <v>16</v>
      </c>
      <c r="H47" s="22">
        <f>H45/29166.6667</f>
        <v>1105.5810398793358</v>
      </c>
      <c r="K47" s="56">
        <f>K45/29166.6667</f>
        <v>23146.627927832425</v>
      </c>
      <c r="L47" s="56"/>
      <c r="M47" s="24" t="s">
        <v>19</v>
      </c>
      <c r="N47" s="25"/>
      <c r="O47" s="1"/>
      <c r="S47" s="1"/>
      <c r="U47" s="5"/>
    </row>
    <row r="48" spans="1:25" x14ac:dyDescent="0.25">
      <c r="A48" s="13" t="s">
        <v>21</v>
      </c>
      <c r="B48" s="20"/>
      <c r="C48" s="20"/>
      <c r="F48" s="23"/>
      <c r="G48" s="21" t="s">
        <v>22</v>
      </c>
      <c r="H48" s="22">
        <f>H45/32150.7466</f>
        <v>1002.9662483794389</v>
      </c>
      <c r="K48" s="56">
        <f>K45/32150.7466</f>
        <v>20998.267642095754</v>
      </c>
      <c r="L48" s="56"/>
      <c r="M48" s="24" t="s">
        <v>23</v>
      </c>
      <c r="N48" s="51"/>
    </row>
    <row r="49" spans="1:15" x14ac:dyDescent="0.25">
      <c r="A49" s="13" t="s">
        <v>24</v>
      </c>
      <c r="B49" s="20"/>
      <c r="C49" s="20"/>
      <c r="F49" s="23"/>
      <c r="G49" s="21" t="s">
        <v>26</v>
      </c>
      <c r="H49" s="22">
        <f>H45/474905</f>
        <v>67.900135184931727</v>
      </c>
      <c r="K49" s="56">
        <f>K45/258101</f>
        <v>2615.6813882937299</v>
      </c>
      <c r="L49" s="56"/>
      <c r="M49" s="24" t="s">
        <v>27</v>
      </c>
      <c r="N49" s="51"/>
    </row>
    <row r="50" spans="1:15" x14ac:dyDescent="0.25">
      <c r="A50" s="46"/>
      <c r="B50" s="48" t="s">
        <v>36</v>
      </c>
      <c r="C50" s="47"/>
      <c r="D50" s="47"/>
      <c r="E50" s="48"/>
      <c r="F50" s="47"/>
      <c r="G50" s="58"/>
      <c r="H50" s="58"/>
      <c r="I50" s="37"/>
      <c r="J50" s="38"/>
    </row>
    <row r="51" spans="1:15" x14ac:dyDescent="0.25">
      <c r="D51" s="61">
        <f>H43-H54</f>
        <v>0</v>
      </c>
      <c r="E51" s="49" t="s">
        <v>31</v>
      </c>
      <c r="F51" s="47"/>
      <c r="G51" s="47"/>
      <c r="H51" s="39">
        <f>D51/(H43/(D54+1))</f>
        <v>0</v>
      </c>
      <c r="I51" s="49" t="s">
        <v>35</v>
      </c>
      <c r="J51" s="47"/>
      <c r="K51" s="47"/>
    </row>
    <row r="52" spans="1:15" x14ac:dyDescent="0.25">
      <c r="D52" s="60"/>
      <c r="G52" s="62">
        <f>K43-K54</f>
        <v>0</v>
      </c>
      <c r="H52" s="49" t="s">
        <v>32</v>
      </c>
      <c r="I52" s="47"/>
      <c r="J52" s="47"/>
      <c r="K52" s="57">
        <f>G52/(K43/(D54+1))</f>
        <v>0</v>
      </c>
      <c r="L52" s="49" t="s">
        <v>35</v>
      </c>
      <c r="M52" s="47"/>
      <c r="N52" s="47"/>
      <c r="O52" s="47"/>
    </row>
    <row r="53" spans="1:15" x14ac:dyDescent="0.25">
      <c r="G53" s="36"/>
      <c r="H53" s="47"/>
      <c r="I53" s="47"/>
      <c r="J53" s="47"/>
      <c r="K53" s="47"/>
      <c r="L53" s="50" t="s">
        <v>37</v>
      </c>
      <c r="M53" s="43" t="e">
        <f>G52/D51</f>
        <v>#DIV/0!</v>
      </c>
    </row>
    <row r="54" spans="1:15" x14ac:dyDescent="0.25">
      <c r="A54" t="s">
        <v>34</v>
      </c>
      <c r="D54" s="38">
        <v>18</v>
      </c>
      <c r="E54" s="38"/>
      <c r="G54" s="37" t="s">
        <v>33</v>
      </c>
      <c r="H54" s="63">
        <v>182500</v>
      </c>
      <c r="I54" s="35"/>
      <c r="J54" s="37" t="s">
        <v>30</v>
      </c>
      <c r="K54" s="63">
        <v>6593500</v>
      </c>
    </row>
    <row r="55" spans="1:15" x14ac:dyDescent="0.25">
      <c r="B55" s="51" t="s">
        <v>38</v>
      </c>
      <c r="C55" s="51"/>
      <c r="D55" s="52"/>
      <c r="E55" s="53"/>
      <c r="F55" s="51"/>
      <c r="G55" s="52"/>
      <c r="H55" s="54"/>
      <c r="I55" s="55"/>
      <c r="J55" s="52"/>
      <c r="K55" s="54"/>
      <c r="L55" s="51"/>
      <c r="M55" s="51"/>
    </row>
    <row r="56" spans="1:15" x14ac:dyDescent="0.25">
      <c r="A56" t="s">
        <v>41</v>
      </c>
      <c r="H56" s="13" t="s">
        <v>28</v>
      </c>
      <c r="K56" s="13" t="s">
        <v>29</v>
      </c>
    </row>
  </sheetData>
  <hyperlinks>
    <hyperlink ref="H1" r:id="rId1"/>
  </hyperlinks>
  <pageMargins left="0.7" right="0.7" top="0.75" bottom="0.75" header="0.3" footer="0.3"/>
  <pageSetup orientation="portrait" r:id="rId2"/>
  <ignoredErrors>
    <ignoredError sqref="H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2013-05-27T05:50:35Z</dcterms:created>
  <dcterms:modified xsi:type="dcterms:W3CDTF">2025-05-09T18:41:45Z</dcterms:modified>
</cp:coreProperties>
</file>